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5416" windowWidth="18345" windowHeight="14040" activeTab="0"/>
  </bookViews>
  <sheets>
    <sheet name="investment" sheetId="1" r:id="rId1"/>
    <sheet name="cost analysis" sheetId="2" r:id="rId2"/>
    <sheet name="assumed values" sheetId="3" r:id="rId3"/>
  </sheets>
  <definedNames>
    <definedName name="_xlnm.Print_Area" localSheetId="1">'cost analysis'!$A$5:$H$44</definedName>
  </definedNames>
  <calcPr fullCalcOnLoad="1"/>
</workbook>
</file>

<file path=xl/comments2.xml><?xml version="1.0" encoding="utf-8"?>
<comments xmlns="http://schemas.openxmlformats.org/spreadsheetml/2006/main">
  <authors>
    <author>Joseph E. Morris</author>
  </authors>
  <commentList>
    <comment ref="D6" authorId="0">
      <text>
        <r>
          <rPr>
            <sz val="8"/>
            <rFont val="Tahoma"/>
            <family val="0"/>
          </rPr>
          <t xml:space="preserve">Values will range depending on the level of management used.
</t>
        </r>
      </text>
    </comment>
    <comment ref="D7" authorId="0">
      <text>
        <r>
          <rPr>
            <sz val="8"/>
            <rFont val="Tahoma"/>
            <family val="0"/>
          </rPr>
          <t xml:space="preserve">This ratio can range widely depending on quality of feed as well as management.
</t>
        </r>
      </text>
    </comment>
  </commentList>
</comments>
</file>

<file path=xl/sharedStrings.xml><?xml version="1.0" encoding="utf-8"?>
<sst xmlns="http://schemas.openxmlformats.org/spreadsheetml/2006/main" count="147" uniqueCount="119">
  <si>
    <t>79.4% survival, gain 68.5g/fish/season</t>
  </si>
  <si>
    <t>boots/waders</t>
  </si>
  <si>
    <t>building</t>
  </si>
  <si>
    <t>water system</t>
  </si>
  <si>
    <t>electric service</t>
  </si>
  <si>
    <t>seine</t>
  </si>
  <si>
    <t>totes</t>
  </si>
  <si>
    <t>buckets</t>
  </si>
  <si>
    <t>(annual)</t>
  </si>
  <si>
    <t>Total depreciation</t>
  </si>
  <si>
    <t>total annual depreciation</t>
  </si>
  <si>
    <t>(approximate, see text)</t>
  </si>
  <si>
    <t xml:space="preserve">  pond set up</t>
  </si>
  <si>
    <t>Borrow 100% of investment capital, pay interest on 100% of investment, 0 payback of investment</t>
  </si>
  <si>
    <t>Feed to gain ratio</t>
  </si>
  <si>
    <t>Production (lbs/ac/yr)</t>
  </si>
  <si>
    <t xml:space="preserve">feed </t>
  </si>
  <si>
    <t>%</t>
  </si>
  <si>
    <t>Borrow 100% of operating capital on day 0, pay pack 100% on day 190</t>
  </si>
  <si>
    <t>3000lbs/acre gain</t>
  </si>
  <si>
    <t>begin with 5.5" fingerlings (50g)</t>
  </si>
  <si>
    <t>stock 30,412 fish/acre</t>
  </si>
  <si>
    <t>herbicides</t>
  </si>
  <si>
    <t>harvest 24,330 fish/acre</t>
  </si>
  <si>
    <t>stock 3,350 lbs./acre</t>
  </si>
  <si>
    <t>harvest 6,350 lbs./acre</t>
  </si>
  <si>
    <t>Labor</t>
  </si>
  <si>
    <t>Total labor</t>
  </si>
  <si>
    <t>Production</t>
  </si>
  <si>
    <t>parameters</t>
  </si>
  <si>
    <t>1.5 acres</t>
  </si>
  <si>
    <t>Production days/year</t>
  </si>
  <si>
    <t>($7.50 + 25% fringe)</t>
  </si>
  <si>
    <t>( 3 hours/day)</t>
  </si>
  <si>
    <t>(20 man-hours/pond)</t>
  </si>
  <si>
    <t>(2 hours/pond)</t>
  </si>
  <si>
    <t>(1 hour/day)</t>
  </si>
  <si>
    <t>190 days</t>
  </si>
  <si>
    <t>Category</t>
  </si>
  <si>
    <t>Sales/Marketing costs</t>
  </si>
  <si>
    <t>Total annual cost</t>
  </si>
  <si>
    <t>Breakeven total cost per lb.</t>
  </si>
  <si>
    <t>Item</t>
  </si>
  <si>
    <t>Unit</t>
  </si>
  <si>
    <t>Unit cost</t>
  </si>
  <si>
    <t>No. of units</t>
  </si>
  <si>
    <t>Total cost</t>
  </si>
  <si>
    <t>Total investment</t>
  </si>
  <si>
    <t>Annual ownership costs</t>
  </si>
  <si>
    <t>Breakeven operating cost per lb.</t>
  </si>
  <si>
    <t>$7.50/hr unskilled</t>
  </si>
  <si>
    <t>Miscellaneous</t>
  </si>
  <si>
    <t>Interest</t>
  </si>
  <si>
    <t xml:space="preserve">interest on operating capital </t>
  </si>
  <si>
    <t>interest on investment</t>
  </si>
  <si>
    <t>tanks (5,000 gal)</t>
  </si>
  <si>
    <t>insurance</t>
  </si>
  <si>
    <t>repairs</t>
  </si>
  <si>
    <t>Subtotal</t>
  </si>
  <si>
    <t>(years)</t>
  </si>
  <si>
    <t>Facilities</t>
  </si>
  <si>
    <t>Equipment</t>
  </si>
  <si>
    <t>Total production costs</t>
  </si>
  <si>
    <t>Production costs</t>
  </si>
  <si>
    <t>Total sales/marketing costs</t>
  </si>
  <si>
    <t>Production (lbs)</t>
  </si>
  <si>
    <t>for 190 days (0.52 years)</t>
  </si>
  <si>
    <t>Total operating cost</t>
  </si>
  <si>
    <t>Total annual ownership cost</t>
  </si>
  <si>
    <t>each</t>
  </si>
  <si>
    <t>lb</t>
  </si>
  <si>
    <t>gal</t>
  </si>
  <si>
    <t>hr</t>
  </si>
  <si>
    <t>land cost</t>
  </si>
  <si>
    <t>(investment/useful life)</t>
  </si>
  <si>
    <t xml:space="preserve">well </t>
  </si>
  <si>
    <t>aeration system</t>
  </si>
  <si>
    <t>well pump</t>
  </si>
  <si>
    <t>blower</t>
  </si>
  <si>
    <t>water pump</t>
  </si>
  <si>
    <t>tools</t>
  </si>
  <si>
    <t>acre</t>
  </si>
  <si>
    <t>pond</t>
  </si>
  <si>
    <t>feeding</t>
  </si>
  <si>
    <t>upkeep repair</t>
  </si>
  <si>
    <t>harvest</t>
  </si>
  <si>
    <t>mile</t>
  </si>
  <si>
    <t>asst</t>
  </si>
  <si>
    <t>fingerlings ($0.085/in)</t>
  </si>
  <si>
    <t>electricity</t>
  </si>
  <si>
    <t>% of total</t>
  </si>
  <si>
    <t>cost</t>
  </si>
  <si>
    <t>% of operating</t>
  </si>
  <si>
    <t>labor (unskilled)</t>
  </si>
  <si>
    <t>ice</t>
  </si>
  <si>
    <t>pickup charge</t>
  </si>
  <si>
    <t>mower</t>
  </si>
  <si>
    <t>fuel (mower, ATV)</t>
  </si>
  <si>
    <t>Pond size</t>
  </si>
  <si>
    <t>kwh</t>
  </si>
  <si>
    <t>Number of ponds</t>
  </si>
  <si>
    <t>Production acreage</t>
  </si>
  <si>
    <t>pond construction</t>
  </si>
  <si>
    <t>pond plumbing</t>
  </si>
  <si>
    <t>balance</t>
  </si>
  <si>
    <t>levee improvements</t>
  </si>
  <si>
    <t>ATV</t>
  </si>
  <si>
    <t>boat</t>
  </si>
  <si>
    <t>d.o. meter</t>
  </si>
  <si>
    <t>feeder</t>
  </si>
  <si>
    <t>nets</t>
  </si>
  <si>
    <t>Enter input values in yellow grid-lined cells.</t>
  </si>
  <si>
    <t xml:space="preserve">Place the cursor over cells with red triangles to read comments. </t>
  </si>
  <si>
    <t>Breakeven costs for 1-year grow-out of yellow perch</t>
  </si>
  <si>
    <t>real estate taxes</t>
  </si>
  <si>
    <t>No.</t>
  </si>
  <si>
    <t>Useful life</t>
  </si>
  <si>
    <t>Depreciation</t>
  </si>
  <si>
    <t>Investment costs for 1-year grow-out of yellow perch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</si>
</sst>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$&quot;#,##0.00"/>
    <numFmt numFmtId="171" formatCode="&quot;$&quot;#,##0.000"/>
    <numFmt numFmtId="172" formatCode="&quot;$&quot;#,##0"/>
    <numFmt numFmtId="173" formatCode="General_)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name val="Times New Roman"/>
      <family val="0"/>
    </font>
    <font>
      <sz val="10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169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2" fontId="7" fillId="0" borderId="1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70" fontId="7" fillId="0" borderId="11" xfId="0" applyNumberFormat="1" applyFont="1" applyBorder="1" applyAlignment="1">
      <alignment/>
    </xf>
    <xf numFmtId="172" fontId="7" fillId="0" borderId="0" xfId="0" applyNumberFormat="1" applyFont="1" applyFill="1" applyAlignment="1">
      <alignment/>
    </xf>
    <xf numFmtId="3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57" applyFont="1" applyFill="1" applyProtection="1">
      <alignment/>
      <protection/>
    </xf>
    <xf numFmtId="0" fontId="9" fillId="0" borderId="0" xfId="57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170" fontId="7" fillId="33" borderId="10" xfId="0" applyNumberFormat="1" applyFont="1" applyFill="1" applyBorder="1" applyAlignment="1" applyProtection="1">
      <alignment/>
      <protection locked="0"/>
    </xf>
    <xf numFmtId="17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33" borderId="10" xfId="0" applyFont="1" applyFill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172" fontId="7" fillId="0" borderId="0" xfId="0" applyNumberFormat="1" applyFont="1" applyAlignment="1" applyProtection="1">
      <alignment horizontal="right"/>
      <protection locked="0"/>
    </xf>
    <xf numFmtId="172" fontId="7" fillId="34" borderId="10" xfId="0" applyNumberFormat="1" applyFont="1" applyFill="1" applyBorder="1" applyAlignment="1" applyProtection="1">
      <alignment horizontal="right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170" fontId="11" fillId="35" borderId="1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57" applyFont="1" applyBorder="1" applyAlignment="1" applyProtection="1">
      <alignment horizontal="left"/>
      <protection/>
    </xf>
    <xf numFmtId="0" fontId="9" fillId="33" borderId="14" xfId="57" applyFont="1" applyFill="1" applyBorder="1" applyAlignment="1" applyProtection="1">
      <alignment horizontal="left"/>
      <protection/>
    </xf>
    <xf numFmtId="0" fontId="9" fillId="33" borderId="17" xfId="57" applyFont="1" applyFill="1" applyBorder="1" applyAlignment="1" applyProtection="1">
      <alignment horizontal="left"/>
      <protection/>
    </xf>
    <xf numFmtId="0" fontId="9" fillId="33" borderId="15" xfId="57" applyFont="1" applyFill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9" fillId="36" borderId="18" xfId="57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st analysi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holste@iastate.edu?subject=AgDM%20Spreadsheet" TargetMode="External" /><Relationship Id="rId2" Type="http://schemas.openxmlformats.org/officeDocument/2006/relationships/hyperlink" Target="../../Local%20Settings/Temporary%20Internet%20Files/Content.Outlook/Local%20Settings/Temporary%20Internet%20Files/crops/pdf/a3-24.pdf" TargetMode="External" /><Relationship Id="rId3" Type="http://schemas.openxmlformats.org/officeDocument/2006/relationships/hyperlink" Target="../../Local%20Settings/Temporary%20Internet%20Files/Content.Outlook/Local%20Settings/Temporary%20Internet%20Files/wdfinancial.html" TargetMode="External" /><Relationship Id="rId4" Type="http://schemas.openxmlformats.org/officeDocument/2006/relationships/hyperlink" Target="../../Local%20Settings/Temporary%20Internet%20Files/Content.Outlook/Local%20Settings/Temporary%20Internet%20Files/Content.Outlook/html/b1-21.html" TargetMode="External" /><Relationship Id="rId5" Type="http://schemas.openxmlformats.org/officeDocument/2006/relationships/hyperlink" Target="../../Local%20Settings/Temporary%20Internet%20Files/Content.Outlook/Local%20Settings/Temporary%20Internet%20Files/Content.Outlook/html/b1-21.html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3" sqref="D13"/>
    </sheetView>
  </sheetViews>
  <sheetFormatPr defaultColWidth="10.875" defaultRowHeight="12"/>
  <cols>
    <col min="1" max="1" width="12.875" style="1" bestFit="1" customWidth="1"/>
    <col min="2" max="2" width="14.00390625" style="1" bestFit="1" customWidth="1"/>
    <col min="3" max="3" width="6.875" style="1" bestFit="1" customWidth="1"/>
    <col min="4" max="4" width="8.375" style="35" bestFit="1" customWidth="1"/>
    <col min="5" max="5" width="20.75390625" style="1" customWidth="1"/>
    <col min="6" max="6" width="9.25390625" style="1" bestFit="1" customWidth="1"/>
    <col min="7" max="7" width="7.875" style="35" bestFit="1" customWidth="1"/>
    <col min="8" max="8" width="9.25390625" style="1" bestFit="1" customWidth="1"/>
    <col min="9" max="16384" width="10.875" style="1" customWidth="1"/>
  </cols>
  <sheetData>
    <row r="1" s="9" customFormat="1" ht="18.75">
      <c r="A1" s="51" t="s">
        <v>118</v>
      </c>
    </row>
    <row r="2" spans="1:5" s="9" customFormat="1" ht="12.75">
      <c r="A2" s="27"/>
      <c r="B2" s="43"/>
      <c r="C2" s="43"/>
      <c r="D2" s="43"/>
      <c r="E2" s="43"/>
    </row>
    <row r="3" spans="1:5" s="9" customFormat="1" ht="12.75">
      <c r="A3" s="27"/>
      <c r="B3" s="44" t="s">
        <v>111</v>
      </c>
      <c r="C3" s="45"/>
      <c r="D3" s="46"/>
      <c r="E3" s="28"/>
    </row>
    <row r="4" spans="1:5" s="9" customFormat="1" ht="12.75">
      <c r="A4" s="27"/>
      <c r="C4" s="50"/>
      <c r="D4" s="50"/>
      <c r="E4" s="28"/>
    </row>
    <row r="5" spans="1:8" s="9" customFormat="1" ht="12">
      <c r="A5" s="47" t="s">
        <v>38</v>
      </c>
      <c r="B5" s="47" t="s">
        <v>42</v>
      </c>
      <c r="C5" s="47" t="s">
        <v>43</v>
      </c>
      <c r="D5" s="47" t="s">
        <v>44</v>
      </c>
      <c r="E5" s="47" t="s">
        <v>115</v>
      </c>
      <c r="F5" s="47" t="s">
        <v>46</v>
      </c>
      <c r="G5" s="47" t="s">
        <v>116</v>
      </c>
      <c r="H5" s="47" t="s">
        <v>117</v>
      </c>
    </row>
    <row r="6" spans="1:8" ht="12">
      <c r="A6" s="48" t="s">
        <v>60</v>
      </c>
      <c r="B6" s="48"/>
      <c r="C6" s="48"/>
      <c r="D6" s="49"/>
      <c r="E6" s="49"/>
      <c r="F6" s="49"/>
      <c r="G6" s="49" t="s">
        <v>59</v>
      </c>
      <c r="H6" s="49" t="s">
        <v>8</v>
      </c>
    </row>
    <row r="7" spans="1:8" ht="12">
      <c r="A7" s="8"/>
      <c r="B7" s="8" t="s">
        <v>73</v>
      </c>
      <c r="C7" s="8" t="s">
        <v>81</v>
      </c>
      <c r="D7" s="37">
        <v>3500</v>
      </c>
      <c r="E7" s="5">
        <v>35</v>
      </c>
      <c r="F7" s="2">
        <f aca="true" t="shared" si="0" ref="F7:F16">D7*E7</f>
        <v>122500</v>
      </c>
      <c r="G7" s="38"/>
      <c r="H7" s="6">
        <f>F7*-0.05</f>
        <v>-6125</v>
      </c>
    </row>
    <row r="8" spans="1:8" ht="12">
      <c r="A8" s="8"/>
      <c r="B8" s="8" t="s">
        <v>102</v>
      </c>
      <c r="C8" s="8" t="s">
        <v>81</v>
      </c>
      <c r="D8" s="37">
        <v>4000</v>
      </c>
      <c r="E8" s="5">
        <v>27</v>
      </c>
      <c r="F8" s="2">
        <f t="shared" si="0"/>
        <v>108000</v>
      </c>
      <c r="G8" s="38">
        <v>50</v>
      </c>
      <c r="H8" s="6">
        <f aca="true" t="shared" si="1" ref="H8:H16">F8/G8</f>
        <v>2160</v>
      </c>
    </row>
    <row r="9" spans="1:8" ht="12">
      <c r="A9" s="8"/>
      <c r="B9" s="8" t="s">
        <v>103</v>
      </c>
      <c r="C9" s="8" t="s">
        <v>82</v>
      </c>
      <c r="D9" s="37">
        <v>350</v>
      </c>
      <c r="E9" s="5">
        <v>18</v>
      </c>
      <c r="F9" s="2">
        <f t="shared" si="0"/>
        <v>6300</v>
      </c>
      <c r="G9" s="38">
        <v>25</v>
      </c>
      <c r="H9" s="6">
        <f t="shared" si="1"/>
        <v>252</v>
      </c>
    </row>
    <row r="10" spans="1:8" ht="12">
      <c r="A10" s="8"/>
      <c r="B10" s="8" t="s">
        <v>75</v>
      </c>
      <c r="C10" s="8"/>
      <c r="D10" s="37">
        <v>70000</v>
      </c>
      <c r="E10" s="5">
        <v>1</v>
      </c>
      <c r="F10" s="2">
        <f t="shared" si="0"/>
        <v>70000</v>
      </c>
      <c r="G10" s="38">
        <v>50</v>
      </c>
      <c r="H10" s="6">
        <f t="shared" si="1"/>
        <v>1400</v>
      </c>
    </row>
    <row r="11" spans="1:8" ht="12">
      <c r="A11" s="8"/>
      <c r="B11" s="8" t="s">
        <v>76</v>
      </c>
      <c r="C11" s="8" t="s">
        <v>69</v>
      </c>
      <c r="D11" s="37">
        <v>150</v>
      </c>
      <c r="E11" s="5">
        <v>18</v>
      </c>
      <c r="F11" s="2">
        <f t="shared" si="0"/>
        <v>2700</v>
      </c>
      <c r="G11" s="38">
        <v>25</v>
      </c>
      <c r="H11" s="6">
        <f t="shared" si="1"/>
        <v>108</v>
      </c>
    </row>
    <row r="12" spans="1:8" ht="12">
      <c r="A12" s="8"/>
      <c r="B12" s="8" t="s">
        <v>105</v>
      </c>
      <c r="C12" s="8"/>
      <c r="D12" s="37">
        <v>3000</v>
      </c>
      <c r="E12" s="5">
        <v>1</v>
      </c>
      <c r="F12" s="2">
        <f t="shared" si="0"/>
        <v>3000</v>
      </c>
      <c r="G12" s="38">
        <v>50</v>
      </c>
      <c r="H12" s="6">
        <f t="shared" si="1"/>
        <v>60</v>
      </c>
    </row>
    <row r="13" spans="1:8" ht="12">
      <c r="A13" s="8"/>
      <c r="B13" s="8" t="s">
        <v>2</v>
      </c>
      <c r="C13" s="8"/>
      <c r="D13" s="37">
        <v>20000</v>
      </c>
      <c r="E13" s="5">
        <v>1</v>
      </c>
      <c r="F13" s="2">
        <f t="shared" si="0"/>
        <v>20000</v>
      </c>
      <c r="G13" s="38">
        <v>50</v>
      </c>
      <c r="H13" s="6">
        <f t="shared" si="1"/>
        <v>400</v>
      </c>
    </row>
    <row r="14" spans="1:8" ht="12">
      <c r="A14" s="8"/>
      <c r="B14" s="8" t="s">
        <v>55</v>
      </c>
      <c r="C14" s="8" t="s">
        <v>69</v>
      </c>
      <c r="D14" s="37">
        <v>3000</v>
      </c>
      <c r="E14" s="5">
        <v>2</v>
      </c>
      <c r="F14" s="2">
        <f t="shared" si="0"/>
        <v>6000</v>
      </c>
      <c r="G14" s="38">
        <v>25</v>
      </c>
      <c r="H14" s="6">
        <f t="shared" si="1"/>
        <v>240</v>
      </c>
    </row>
    <row r="15" spans="1:8" ht="12">
      <c r="A15" s="8"/>
      <c r="B15" s="8" t="s">
        <v>3</v>
      </c>
      <c r="D15" s="37">
        <v>1500</v>
      </c>
      <c r="E15" s="5">
        <v>1</v>
      </c>
      <c r="F15" s="2">
        <f t="shared" si="0"/>
        <v>1500</v>
      </c>
      <c r="G15" s="38">
        <v>25</v>
      </c>
      <c r="H15" s="6">
        <f t="shared" si="1"/>
        <v>60</v>
      </c>
    </row>
    <row r="16" spans="1:8" ht="12">
      <c r="A16" s="8"/>
      <c r="B16" s="8" t="s">
        <v>4</v>
      </c>
      <c r="C16" s="8"/>
      <c r="D16" s="37">
        <v>8000</v>
      </c>
      <c r="E16" s="5">
        <v>1</v>
      </c>
      <c r="F16" s="2">
        <f t="shared" si="0"/>
        <v>8000</v>
      </c>
      <c r="G16" s="38">
        <v>25</v>
      </c>
      <c r="H16" s="6">
        <f t="shared" si="1"/>
        <v>320</v>
      </c>
    </row>
    <row r="17" spans="1:8" ht="12">
      <c r="A17" s="8"/>
      <c r="B17" s="8" t="s">
        <v>58</v>
      </c>
      <c r="C17" s="8"/>
      <c r="D17" s="36"/>
      <c r="E17" s="5"/>
      <c r="F17" s="2">
        <f>SUM(F7:F16)</f>
        <v>348000</v>
      </c>
      <c r="H17" s="6">
        <f>SUM(H7:H16)</f>
        <v>-1125</v>
      </c>
    </row>
    <row r="18" spans="1:8" ht="12">
      <c r="A18" s="8"/>
      <c r="B18" s="8"/>
      <c r="C18" s="8"/>
      <c r="D18" s="36"/>
      <c r="E18" s="5"/>
      <c r="F18" s="2"/>
      <c r="H18" s="6"/>
    </row>
    <row r="19" spans="1:8" ht="12">
      <c r="A19" s="8" t="s">
        <v>61</v>
      </c>
      <c r="B19" s="8"/>
      <c r="C19" s="8"/>
      <c r="D19" s="36"/>
      <c r="E19" s="5"/>
      <c r="F19" s="2"/>
      <c r="H19" s="6"/>
    </row>
    <row r="20" spans="1:8" ht="12">
      <c r="A20" s="8"/>
      <c r="B20" s="8" t="s">
        <v>106</v>
      </c>
      <c r="C20" s="8" t="s">
        <v>69</v>
      </c>
      <c r="D20" s="37">
        <v>6000</v>
      </c>
      <c r="E20" s="5">
        <v>1</v>
      </c>
      <c r="F20" s="2">
        <f aca="true" t="shared" si="2" ref="F20:F34">D20*E20</f>
        <v>6000</v>
      </c>
      <c r="G20" s="38">
        <v>10</v>
      </c>
      <c r="H20" s="6">
        <f aca="true" t="shared" si="3" ref="H20:H34">F20/G20</f>
        <v>600</v>
      </c>
    </row>
    <row r="21" spans="1:8" ht="12">
      <c r="A21" s="8"/>
      <c r="B21" s="8" t="s">
        <v>107</v>
      </c>
      <c r="C21" s="8" t="s">
        <v>69</v>
      </c>
      <c r="D21" s="37">
        <v>800</v>
      </c>
      <c r="E21" s="5">
        <v>1</v>
      </c>
      <c r="F21" s="2">
        <f t="shared" si="2"/>
        <v>800</v>
      </c>
      <c r="G21" s="38">
        <v>20</v>
      </c>
      <c r="H21" s="6">
        <f t="shared" si="3"/>
        <v>40</v>
      </c>
    </row>
    <row r="22" spans="1:8" ht="12">
      <c r="A22" s="8"/>
      <c r="B22" s="8" t="s">
        <v>96</v>
      </c>
      <c r="C22" s="8" t="s">
        <v>69</v>
      </c>
      <c r="D22" s="37">
        <v>1000</v>
      </c>
      <c r="E22" s="5">
        <v>1</v>
      </c>
      <c r="F22" s="2">
        <f t="shared" si="2"/>
        <v>1000</v>
      </c>
      <c r="G22" s="38">
        <v>5</v>
      </c>
      <c r="H22" s="6">
        <f t="shared" si="3"/>
        <v>200</v>
      </c>
    </row>
    <row r="23" spans="1:8" ht="12">
      <c r="A23" s="8"/>
      <c r="B23" s="8" t="s">
        <v>77</v>
      </c>
      <c r="C23" s="8" t="s">
        <v>69</v>
      </c>
      <c r="D23" s="37">
        <v>30000</v>
      </c>
      <c r="E23" s="5">
        <v>1</v>
      </c>
      <c r="F23" s="2">
        <f t="shared" si="2"/>
        <v>30000</v>
      </c>
      <c r="G23" s="38">
        <v>10</v>
      </c>
      <c r="H23" s="6">
        <f t="shared" si="3"/>
        <v>3000</v>
      </c>
    </row>
    <row r="24" spans="1:8" ht="12">
      <c r="A24" s="8"/>
      <c r="B24" s="8" t="s">
        <v>78</v>
      </c>
      <c r="C24" s="8" t="s">
        <v>69</v>
      </c>
      <c r="D24" s="37">
        <v>500</v>
      </c>
      <c r="E24" s="5">
        <v>2</v>
      </c>
      <c r="F24" s="2">
        <f t="shared" si="2"/>
        <v>1000</v>
      </c>
      <c r="G24" s="38">
        <v>5</v>
      </c>
      <c r="H24" s="6">
        <f t="shared" si="3"/>
        <v>200</v>
      </c>
    </row>
    <row r="25" spans="1:8" ht="12">
      <c r="A25" s="8"/>
      <c r="B25" s="8" t="s">
        <v>79</v>
      </c>
      <c r="C25" s="8" t="s">
        <v>69</v>
      </c>
      <c r="D25" s="37">
        <v>200</v>
      </c>
      <c r="E25" s="5">
        <v>2</v>
      </c>
      <c r="F25" s="2">
        <f t="shared" si="2"/>
        <v>400</v>
      </c>
      <c r="G25" s="38">
        <v>5</v>
      </c>
      <c r="H25" s="6">
        <f t="shared" si="3"/>
        <v>80</v>
      </c>
    </row>
    <row r="26" spans="1:8" ht="12">
      <c r="A26" s="8"/>
      <c r="B26" s="8" t="s">
        <v>108</v>
      </c>
      <c r="C26" s="8" t="s">
        <v>69</v>
      </c>
      <c r="D26" s="37">
        <v>500</v>
      </c>
      <c r="E26" s="5">
        <v>1</v>
      </c>
      <c r="F26" s="2">
        <f t="shared" si="2"/>
        <v>500</v>
      </c>
      <c r="G26" s="38">
        <v>5</v>
      </c>
      <c r="H26" s="6">
        <f t="shared" si="3"/>
        <v>100</v>
      </c>
    </row>
    <row r="27" spans="1:8" ht="12">
      <c r="A27" s="8"/>
      <c r="B27" s="8" t="s">
        <v>109</v>
      </c>
      <c r="C27" s="8" t="s">
        <v>69</v>
      </c>
      <c r="D27" s="37">
        <v>500</v>
      </c>
      <c r="E27" s="5">
        <v>1</v>
      </c>
      <c r="F27" s="2">
        <f t="shared" si="2"/>
        <v>500</v>
      </c>
      <c r="G27" s="38">
        <v>5</v>
      </c>
      <c r="H27" s="6">
        <f t="shared" si="3"/>
        <v>100</v>
      </c>
    </row>
    <row r="28" spans="1:8" ht="12">
      <c r="A28" s="8"/>
      <c r="B28" s="8" t="s">
        <v>104</v>
      </c>
      <c r="C28" s="8" t="s">
        <v>69</v>
      </c>
      <c r="D28" s="37">
        <v>200</v>
      </c>
      <c r="E28" s="5">
        <v>1</v>
      </c>
      <c r="F28" s="2">
        <f t="shared" si="2"/>
        <v>200</v>
      </c>
      <c r="G28" s="38">
        <v>5</v>
      </c>
      <c r="H28" s="6">
        <f t="shared" si="3"/>
        <v>40</v>
      </c>
    </row>
    <row r="29" spans="1:8" ht="12">
      <c r="A29" s="8"/>
      <c r="B29" s="8" t="s">
        <v>110</v>
      </c>
      <c r="C29" s="8" t="s">
        <v>69</v>
      </c>
      <c r="D29" s="37">
        <v>25</v>
      </c>
      <c r="E29" s="5">
        <v>6</v>
      </c>
      <c r="F29" s="2">
        <f t="shared" si="2"/>
        <v>150</v>
      </c>
      <c r="G29" s="38">
        <v>3</v>
      </c>
      <c r="H29" s="6">
        <f t="shared" si="3"/>
        <v>50</v>
      </c>
    </row>
    <row r="30" spans="1:8" ht="12">
      <c r="A30" s="8"/>
      <c r="B30" s="8" t="s">
        <v>1</v>
      </c>
      <c r="C30" s="8" t="s">
        <v>69</v>
      </c>
      <c r="D30" s="37">
        <v>50</v>
      </c>
      <c r="E30" s="5">
        <v>3</v>
      </c>
      <c r="F30" s="2">
        <f t="shared" si="2"/>
        <v>150</v>
      </c>
      <c r="G30" s="38">
        <v>1</v>
      </c>
      <c r="H30" s="6">
        <f t="shared" si="3"/>
        <v>150</v>
      </c>
    </row>
    <row r="31" spans="1:8" ht="12">
      <c r="A31" s="8"/>
      <c r="B31" s="8" t="s">
        <v>5</v>
      </c>
      <c r="C31" s="8" t="s">
        <v>69</v>
      </c>
      <c r="D31" s="37">
        <v>1000</v>
      </c>
      <c r="E31" s="5">
        <v>1</v>
      </c>
      <c r="F31" s="2">
        <f t="shared" si="2"/>
        <v>1000</v>
      </c>
      <c r="G31" s="38">
        <v>10</v>
      </c>
      <c r="H31" s="6">
        <f t="shared" si="3"/>
        <v>100</v>
      </c>
    </row>
    <row r="32" spans="1:8" ht="12">
      <c r="A32" s="8"/>
      <c r="B32" s="8" t="s">
        <v>6</v>
      </c>
      <c r="C32" s="8" t="s">
        <v>69</v>
      </c>
      <c r="D32" s="37">
        <v>5</v>
      </c>
      <c r="E32" s="5">
        <v>10</v>
      </c>
      <c r="F32" s="2">
        <f t="shared" si="2"/>
        <v>50</v>
      </c>
      <c r="G32" s="38">
        <v>3</v>
      </c>
      <c r="H32" s="6">
        <f t="shared" si="3"/>
        <v>16.666666666666668</v>
      </c>
    </row>
    <row r="33" spans="1:8" ht="12">
      <c r="A33" s="8"/>
      <c r="B33" s="8" t="s">
        <v>7</v>
      </c>
      <c r="C33" s="8" t="s">
        <v>69</v>
      </c>
      <c r="D33" s="37">
        <v>2</v>
      </c>
      <c r="E33" s="5">
        <v>10</v>
      </c>
      <c r="F33" s="2">
        <f t="shared" si="2"/>
        <v>20</v>
      </c>
      <c r="G33" s="38">
        <v>3</v>
      </c>
      <c r="H33" s="6">
        <f t="shared" si="3"/>
        <v>6.666666666666667</v>
      </c>
    </row>
    <row r="34" spans="1:8" ht="12">
      <c r="A34" s="8"/>
      <c r="B34" s="8" t="s">
        <v>80</v>
      </c>
      <c r="C34" s="8" t="s">
        <v>69</v>
      </c>
      <c r="D34" s="37">
        <v>300</v>
      </c>
      <c r="E34" s="5">
        <v>1</v>
      </c>
      <c r="F34" s="2">
        <f t="shared" si="2"/>
        <v>300</v>
      </c>
      <c r="G34" s="38">
        <v>10</v>
      </c>
      <c r="H34" s="6">
        <f t="shared" si="3"/>
        <v>30</v>
      </c>
    </row>
    <row r="35" spans="1:8" ht="12">
      <c r="A35" s="8"/>
      <c r="B35" s="8" t="s">
        <v>58</v>
      </c>
      <c r="C35" s="8" t="s">
        <v>87</v>
      </c>
      <c r="E35" s="5"/>
      <c r="F35" s="3">
        <f>SUM(F20:F34)</f>
        <v>42070</v>
      </c>
      <c r="H35" s="6">
        <f>SUM(H20:H34)</f>
        <v>4713.333333333334</v>
      </c>
    </row>
    <row r="36" spans="1:8" ht="12">
      <c r="A36" s="8" t="s">
        <v>47</v>
      </c>
      <c r="B36" s="8"/>
      <c r="C36" s="8"/>
      <c r="F36" s="4">
        <f>F17+F35</f>
        <v>390070</v>
      </c>
      <c r="H36" s="6"/>
    </row>
    <row r="37" spans="1:8" ht="12">
      <c r="A37" s="8" t="s">
        <v>9</v>
      </c>
      <c r="B37" s="8"/>
      <c r="C37" s="8"/>
      <c r="F37" s="5"/>
      <c r="H37" s="7">
        <f>H17+H35</f>
        <v>3588.333333333334</v>
      </c>
    </row>
    <row r="38" spans="1:3" ht="12">
      <c r="A38" s="8"/>
      <c r="C38" s="8"/>
    </row>
  </sheetData>
  <sheetProtection password="CA3F" sheet="1" selectLockedCells="1"/>
  <mergeCells count="2">
    <mergeCell ref="B2:E2"/>
    <mergeCell ref="B3:D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125" zoomScaleNormal="125" zoomScalePageLayoutView="0" workbookViewId="0" topLeftCell="A10">
      <selection activeCell="D22" sqref="D22"/>
    </sheetView>
  </sheetViews>
  <sheetFormatPr defaultColWidth="10.875" defaultRowHeight="12"/>
  <cols>
    <col min="1" max="1" width="26.625" style="9" customWidth="1"/>
    <col min="2" max="2" width="19.375" style="9" bestFit="1" customWidth="1"/>
    <col min="3" max="3" width="4.375" style="9" bestFit="1" customWidth="1"/>
    <col min="4" max="4" width="7.875" style="9" bestFit="1" customWidth="1"/>
    <col min="5" max="5" width="18.25390625" style="9" customWidth="1"/>
    <col min="6" max="6" width="11.25390625" style="9" bestFit="1" customWidth="1"/>
    <col min="7" max="7" width="7.25390625" style="9" bestFit="1" customWidth="1"/>
    <col min="8" max="8" width="10.375" style="9" bestFit="1" customWidth="1"/>
    <col min="9" max="16384" width="10.875" style="9" customWidth="1"/>
  </cols>
  <sheetData>
    <row r="1" ht="12">
      <c r="A1" s="42" t="s">
        <v>113</v>
      </c>
    </row>
    <row r="2" spans="1:5" ht="12.75">
      <c r="A2" s="27"/>
      <c r="B2" s="43" t="s">
        <v>112</v>
      </c>
      <c r="C2" s="43"/>
      <c r="D2" s="43"/>
      <c r="E2" s="43"/>
    </row>
    <row r="3" spans="1:5" ht="12.75">
      <c r="A3" s="27"/>
      <c r="B3" s="44" t="s">
        <v>111</v>
      </c>
      <c r="C3" s="45"/>
      <c r="D3" s="46"/>
      <c r="E3" s="28"/>
    </row>
    <row r="4" ht="12"/>
    <row r="5" ht="12"/>
    <row r="6" spans="2:5" ht="12">
      <c r="B6" s="25" t="s">
        <v>15</v>
      </c>
      <c r="C6" s="26"/>
      <c r="D6" s="29">
        <v>3000</v>
      </c>
      <c r="E6" s="9" t="s">
        <v>11</v>
      </c>
    </row>
    <row r="7" spans="2:4" ht="12">
      <c r="B7" s="23" t="s">
        <v>14</v>
      </c>
      <c r="C7" s="24"/>
      <c r="D7" s="30">
        <v>1.5</v>
      </c>
    </row>
    <row r="8" spans="1:8" ht="12">
      <c r="A8" s="40"/>
      <c r="B8" s="40"/>
      <c r="C8" s="40"/>
      <c r="D8" s="40"/>
      <c r="E8" s="40"/>
      <c r="F8" s="40"/>
      <c r="G8" s="40" t="s">
        <v>90</v>
      </c>
      <c r="H8" s="40" t="s">
        <v>92</v>
      </c>
    </row>
    <row r="9" spans="1:8" ht="12">
      <c r="A9" s="41" t="s">
        <v>38</v>
      </c>
      <c r="B9" s="41" t="s">
        <v>42</v>
      </c>
      <c r="C9" s="41" t="s">
        <v>43</v>
      </c>
      <c r="D9" s="41" t="s">
        <v>44</v>
      </c>
      <c r="E9" s="41" t="s">
        <v>45</v>
      </c>
      <c r="F9" s="41" t="s">
        <v>46</v>
      </c>
      <c r="G9" s="41" t="s">
        <v>91</v>
      </c>
      <c r="H9" s="41" t="s">
        <v>91</v>
      </c>
    </row>
    <row r="10" ht="12">
      <c r="A10" s="9" t="s">
        <v>63</v>
      </c>
    </row>
    <row r="11" spans="2:8" ht="12">
      <c r="B11" s="9" t="s">
        <v>88</v>
      </c>
      <c r="C11" s="9" t="s">
        <v>69</v>
      </c>
      <c r="D11" s="31">
        <v>0.4675</v>
      </c>
      <c r="E11" s="11">
        <f>D6*273.708</f>
        <v>821124.0000000001</v>
      </c>
      <c r="F11" s="12">
        <f>D11*E11</f>
        <v>383875.4700000001</v>
      </c>
      <c r="G11" s="13">
        <f aca="true" t="shared" si="0" ref="G11:G16">(F11*100)/$F$42</f>
        <v>75.1547384293654</v>
      </c>
      <c r="H11" s="13">
        <f aca="true" t="shared" si="1" ref="H11:H16">(F11*100)/$F$28</f>
        <v>82.22897239945728</v>
      </c>
    </row>
    <row r="12" spans="2:8" ht="12">
      <c r="B12" s="9" t="s">
        <v>16</v>
      </c>
      <c r="C12" s="9" t="s">
        <v>70</v>
      </c>
      <c r="D12" s="31">
        <v>0.33</v>
      </c>
      <c r="E12" s="14">
        <f>(E11*D7)/10.13733</f>
        <v>121500.03995134815</v>
      </c>
      <c r="F12" s="12">
        <f>D12*E12</f>
        <v>40095.013183944895</v>
      </c>
      <c r="G12" s="15">
        <f t="shared" si="0"/>
        <v>7.849759788405691</v>
      </c>
      <c r="H12" s="15">
        <f t="shared" si="1"/>
        <v>8.588649158693261</v>
      </c>
    </row>
    <row r="13" spans="2:8" ht="12">
      <c r="B13" s="9" t="s">
        <v>22</v>
      </c>
      <c r="D13" s="31"/>
      <c r="E13" s="14"/>
      <c r="F13" s="12">
        <v>500</v>
      </c>
      <c r="G13" s="15">
        <f t="shared" si="0"/>
        <v>0.09788947758157793</v>
      </c>
      <c r="H13" s="15">
        <f t="shared" si="1"/>
        <v>0.10710370787622515</v>
      </c>
    </row>
    <row r="14" spans="2:8" ht="12">
      <c r="B14" s="9" t="s">
        <v>97</v>
      </c>
      <c r="C14" s="9" t="s">
        <v>71</v>
      </c>
      <c r="D14" s="31">
        <v>2.3</v>
      </c>
      <c r="E14" s="14">
        <v>200</v>
      </c>
      <c r="F14" s="12">
        <f>D14*E14</f>
        <v>459.99999999999994</v>
      </c>
      <c r="G14" s="15">
        <f t="shared" si="0"/>
        <v>0.09005831937505168</v>
      </c>
      <c r="H14" s="15">
        <f t="shared" si="1"/>
        <v>0.09853541124612712</v>
      </c>
    </row>
    <row r="15" spans="2:8" ht="12">
      <c r="B15" s="9" t="s">
        <v>89</v>
      </c>
      <c r="C15" s="9" t="s">
        <v>99</v>
      </c>
      <c r="D15" s="31">
        <v>0.09</v>
      </c>
      <c r="E15" s="14">
        <v>111111</v>
      </c>
      <c r="F15" s="12">
        <f>D15*E15</f>
        <v>9999.99</v>
      </c>
      <c r="G15" s="15">
        <f t="shared" si="0"/>
        <v>1.9577875938420068</v>
      </c>
      <c r="H15" s="15">
        <f t="shared" si="1"/>
        <v>2.1420720154503456</v>
      </c>
    </row>
    <row r="16" spans="2:8" ht="12">
      <c r="B16" s="9" t="s">
        <v>93</v>
      </c>
      <c r="C16" s="9" t="s">
        <v>72</v>
      </c>
      <c r="D16" s="31">
        <v>9.375</v>
      </c>
      <c r="E16" s="14">
        <v>1120</v>
      </c>
      <c r="F16" s="12">
        <f>D16*E16</f>
        <v>10500</v>
      </c>
      <c r="G16" s="15">
        <f t="shared" si="0"/>
        <v>2.0556790292131364</v>
      </c>
      <c r="H16" s="15">
        <f t="shared" si="1"/>
        <v>2.2491778654007284</v>
      </c>
    </row>
    <row r="17" spans="2:6" ht="12">
      <c r="B17" s="9" t="s">
        <v>32</v>
      </c>
      <c r="D17" s="32"/>
      <c r="E17" s="14"/>
      <c r="F17" s="12"/>
    </row>
    <row r="18" spans="1:8" ht="12">
      <c r="A18" s="9" t="s">
        <v>62</v>
      </c>
      <c r="D18" s="32"/>
      <c r="E18" s="14"/>
      <c r="F18" s="16">
        <f>SUM(F8:F16)</f>
        <v>445430.473183945</v>
      </c>
      <c r="G18" s="15">
        <f>(F18*100)/$F$42</f>
        <v>87.20591263778286</v>
      </c>
      <c r="H18" s="15">
        <f>(F18*100)/$F$28</f>
        <v>95.41451055812396</v>
      </c>
    </row>
    <row r="19" spans="4:6" ht="12">
      <c r="D19" s="32"/>
      <c r="E19" s="14"/>
      <c r="F19" s="12"/>
    </row>
    <row r="20" spans="1:6" ht="12">
      <c r="A20" s="9" t="s">
        <v>39</v>
      </c>
      <c r="D20" s="32"/>
      <c r="E20" s="14"/>
      <c r="F20" s="12"/>
    </row>
    <row r="21" spans="2:8" ht="12">
      <c r="B21" s="9" t="s">
        <v>94</v>
      </c>
      <c r="C21" s="9" t="s">
        <v>70</v>
      </c>
      <c r="D21" s="31">
        <v>0.07</v>
      </c>
      <c r="E21" s="14">
        <f>F29*0.5</f>
        <v>85086.71369603527</v>
      </c>
      <c r="F21" s="12">
        <f>D21*E21</f>
        <v>5956.069958722469</v>
      </c>
      <c r="G21" s="15">
        <f>(F21*100)/$F$42</f>
        <v>1.1660731533973459</v>
      </c>
      <c r="H21" s="15">
        <f>(F21*100)/$F$28</f>
        <v>1.2758343538987436</v>
      </c>
    </row>
    <row r="22" spans="2:8" ht="12">
      <c r="B22" s="9" t="s">
        <v>95</v>
      </c>
      <c r="C22" s="9" t="s">
        <v>86</v>
      </c>
      <c r="D22" s="31">
        <v>1.25</v>
      </c>
      <c r="E22" s="14">
        <v>150</v>
      </c>
      <c r="F22" s="12">
        <f>D22*E22</f>
        <v>187.5</v>
      </c>
      <c r="G22" s="15">
        <f>(F22*100)/$F$42</f>
        <v>0.036708554093091726</v>
      </c>
      <c r="H22" s="15">
        <f>(F22*100)/$F$28</f>
        <v>0.040163890453584435</v>
      </c>
    </row>
    <row r="23" spans="1:8" ht="12">
      <c r="A23" s="9" t="s">
        <v>64</v>
      </c>
      <c r="D23" s="33"/>
      <c r="E23" s="14"/>
      <c r="F23" s="17">
        <f>SUM(F21:F22)</f>
        <v>6143.569958722469</v>
      </c>
      <c r="G23" s="15">
        <f>(F23*100)/$F$42</f>
        <v>1.2027817074904377</v>
      </c>
      <c r="H23" s="15">
        <f>(F23*100)/$F$28</f>
        <v>1.315998244352328</v>
      </c>
    </row>
    <row r="24" spans="4:8" ht="12">
      <c r="D24" s="33"/>
      <c r="F24" s="17"/>
      <c r="H24" s="18"/>
    </row>
    <row r="25" spans="1:6" ht="12">
      <c r="A25" s="9" t="s">
        <v>51</v>
      </c>
      <c r="D25" s="33"/>
      <c r="F25" s="12"/>
    </row>
    <row r="26" spans="1:8" ht="12">
      <c r="A26" s="19"/>
      <c r="B26" s="9" t="s">
        <v>53</v>
      </c>
      <c r="C26" s="9" t="s">
        <v>17</v>
      </c>
      <c r="D26" s="34">
        <v>6.5</v>
      </c>
      <c r="F26" s="17">
        <f>((F18+F23)*D26/100)*0.52</f>
        <v>15263.20265822216</v>
      </c>
      <c r="G26" s="15">
        <f>(F26*100)/$F$42</f>
        <v>2.988213868870238</v>
      </c>
      <c r="H26" s="15">
        <f>(F26*100)/$F$28</f>
        <v>3.269491197523699</v>
      </c>
    </row>
    <row r="27" spans="2:6" ht="12">
      <c r="B27" s="9" t="s">
        <v>66</v>
      </c>
      <c r="F27" s="12"/>
    </row>
    <row r="28" spans="1:8" ht="12">
      <c r="A28" s="9" t="s">
        <v>67</v>
      </c>
      <c r="F28" s="16">
        <f>F18+F23+F26</f>
        <v>466837.2458008896</v>
      </c>
      <c r="G28" s="15">
        <f>(F28*100)/$F$42</f>
        <v>91.39690821414355</v>
      </c>
      <c r="H28" s="15">
        <f>(F28*100)/$F$28</f>
        <v>100.00000000000001</v>
      </c>
    </row>
    <row r="29" spans="1:6" ht="12.75" thickBot="1">
      <c r="A29" s="9" t="s">
        <v>65</v>
      </c>
      <c r="F29" s="14">
        <f>(E11*(50+68.5)/454*(0.794))</f>
        <v>170173.42739207053</v>
      </c>
    </row>
    <row r="30" spans="1:6" ht="12.75" thickBot="1">
      <c r="A30" s="9" t="s">
        <v>49</v>
      </c>
      <c r="F30" s="20">
        <f>F28/F29</f>
        <v>2.7433028349680084</v>
      </c>
    </row>
    <row r="31" ht="12">
      <c r="F31" s="10"/>
    </row>
    <row r="32" spans="1:6" ht="12">
      <c r="A32" s="9" t="s">
        <v>48</v>
      </c>
      <c r="F32" s="10"/>
    </row>
    <row r="33" spans="2:8" ht="12">
      <c r="B33" s="9" t="s">
        <v>10</v>
      </c>
      <c r="F33" s="12">
        <f>investment!H37</f>
        <v>3588.333333333334</v>
      </c>
      <c r="G33" s="15">
        <f>(F33*100)/$F$42</f>
        <v>0.7025201507771244</v>
      </c>
      <c r="H33" s="15"/>
    </row>
    <row r="34" spans="2:6" ht="12">
      <c r="B34" s="9" t="s">
        <v>74</v>
      </c>
      <c r="F34" s="12"/>
    </row>
    <row r="35" ht="12">
      <c r="F35" s="12"/>
    </row>
    <row r="36" spans="2:8" ht="12">
      <c r="B36" s="9" t="s">
        <v>54</v>
      </c>
      <c r="F36" s="12">
        <f>investment!F36*D26/100</f>
        <v>25354.55</v>
      </c>
      <c r="G36" s="15">
        <f>(F36*100)/$F$42</f>
        <v>4.963887307631993</v>
      </c>
      <c r="H36" s="15"/>
    </row>
    <row r="37" spans="2:6" ht="12">
      <c r="B37" s="42" t="s">
        <v>114</v>
      </c>
      <c r="F37" s="12">
        <v>2000</v>
      </c>
    </row>
    <row r="38" spans="2:8" ht="12">
      <c r="B38" s="9" t="s">
        <v>56</v>
      </c>
      <c r="F38" s="12">
        <v>3000</v>
      </c>
      <c r="H38" s="18"/>
    </row>
    <row r="39" spans="2:8" ht="12">
      <c r="B39" s="9" t="s">
        <v>57</v>
      </c>
      <c r="F39" s="21">
        <v>10000</v>
      </c>
      <c r="G39" s="15">
        <f>(F39*100)/$F$42</f>
        <v>1.9577895516315587</v>
      </c>
      <c r="H39" s="15"/>
    </row>
    <row r="40" spans="1:8" ht="12">
      <c r="A40" s="9" t="s">
        <v>68</v>
      </c>
      <c r="F40" s="16">
        <f>SUM(F33:F39)</f>
        <v>43942.88333333333</v>
      </c>
      <c r="G40" s="15">
        <f>(F40*100)/$F$42</f>
        <v>8.603091785856455</v>
      </c>
      <c r="H40" s="15"/>
    </row>
    <row r="41" ht="12">
      <c r="F41" s="12"/>
    </row>
    <row r="42" spans="1:8" ht="12">
      <c r="A42" s="9" t="s">
        <v>40</v>
      </c>
      <c r="F42" s="16">
        <f>F28+F40</f>
        <v>510780.129134223</v>
      </c>
      <c r="G42" s="15">
        <f>(F42*100)/$F$42</f>
        <v>100</v>
      </c>
      <c r="H42" s="15"/>
    </row>
    <row r="43" spans="1:6" ht="12.75" thickBot="1">
      <c r="A43" s="9" t="s">
        <v>65</v>
      </c>
      <c r="F43" s="14">
        <f>F29</f>
        <v>170173.42739207053</v>
      </c>
    </row>
    <row r="44" spans="1:6" ht="12.75" thickBot="1">
      <c r="A44" s="9" t="s">
        <v>41</v>
      </c>
      <c r="F44" s="39">
        <f>F42/F43</f>
        <v>3.001526953778822</v>
      </c>
    </row>
    <row r="55" ht="1.5" customHeight="1"/>
    <row r="56" ht="12" hidden="1"/>
  </sheetData>
  <sheetProtection password="CA3F" sheet="1" selectLockedCells="1"/>
  <mergeCells count="2">
    <mergeCell ref="B3:D3"/>
    <mergeCell ref="B2:E2"/>
  </mergeCells>
  <hyperlinks>
    <hyperlink ref="B60" r:id="rId1" display="Author: Ann Holste"/>
    <hyperlink ref="B65536:C65536" r:id="rId2" display="Estimating the Field Capacity of Farm Machines"/>
    <hyperlink ref="B65536" r:id="rId3" display="Learn in the Financial Information section"/>
    <hyperlink ref="B65536:H65536" r:id="rId4" display="For more information see the Livestock Cost of Production Information File."/>
    <hyperlink ref="B65536:L65536" r:id="rId5" display="For more information see the Livestock Enterprise Budgets Information File."/>
  </hyperlinks>
  <printOptions/>
  <pageMargins left="0.75" right="0.75" top="1" bottom="1" header="0.5" footer="0.5"/>
  <pageSetup orientation="landscape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6"/>
  <sheetViews>
    <sheetView zoomScalePageLayoutView="0" workbookViewId="0" topLeftCell="A1">
      <selection activeCell="A1" sqref="A1:IV3"/>
    </sheetView>
  </sheetViews>
  <sheetFormatPr defaultColWidth="10.875" defaultRowHeight="12"/>
  <cols>
    <col min="1" max="16384" width="10.875" style="9" customWidth="1"/>
  </cols>
  <sheetData>
    <row r="4" spans="1:6" ht="12">
      <c r="A4" s="9" t="s">
        <v>98</v>
      </c>
      <c r="F4" s="9" t="s">
        <v>30</v>
      </c>
    </row>
    <row r="5" spans="1:6" ht="12">
      <c r="A5" s="9" t="s">
        <v>100</v>
      </c>
      <c r="F5" s="9">
        <v>18</v>
      </c>
    </row>
    <row r="6" spans="1:6" ht="12">
      <c r="A6" s="9" t="s">
        <v>101</v>
      </c>
      <c r="F6" s="9">
        <v>27</v>
      </c>
    </row>
    <row r="7" spans="1:6" ht="12">
      <c r="A7" s="9" t="s">
        <v>31</v>
      </c>
      <c r="F7" s="9" t="s">
        <v>37</v>
      </c>
    </row>
    <row r="9" ht="12">
      <c r="A9" s="9" t="s">
        <v>52</v>
      </c>
    </row>
    <row r="10" ht="12">
      <c r="B10" s="9" t="s">
        <v>13</v>
      </c>
    </row>
    <row r="11" ht="12">
      <c r="B11" s="9" t="s">
        <v>18</v>
      </c>
    </row>
    <row r="13" ht="12">
      <c r="A13" s="9" t="s">
        <v>28</v>
      </c>
    </row>
    <row r="14" spans="1:2" ht="12">
      <c r="A14" s="9" t="s">
        <v>29</v>
      </c>
      <c r="B14" s="9" t="s">
        <v>20</v>
      </c>
    </row>
    <row r="15" ht="12">
      <c r="B15" s="9" t="s">
        <v>0</v>
      </c>
    </row>
    <row r="16" ht="12">
      <c r="B16" s="9" t="s">
        <v>19</v>
      </c>
    </row>
    <row r="17" ht="12">
      <c r="B17" s="9" t="s">
        <v>21</v>
      </c>
    </row>
    <row r="18" ht="12">
      <c r="B18" s="9" t="s">
        <v>24</v>
      </c>
    </row>
    <row r="19" ht="12">
      <c r="B19" s="9" t="s">
        <v>23</v>
      </c>
    </row>
    <row r="20" ht="12">
      <c r="B20" s="9" t="s">
        <v>25</v>
      </c>
    </row>
    <row r="22" spans="1:6" ht="12">
      <c r="A22" s="9" t="s">
        <v>26</v>
      </c>
      <c r="B22" s="9" t="s">
        <v>83</v>
      </c>
      <c r="C22" s="9">
        <v>570</v>
      </c>
      <c r="D22" s="9" t="s">
        <v>33</v>
      </c>
      <c r="F22" s="9" t="s">
        <v>50</v>
      </c>
    </row>
    <row r="23" spans="2:4" ht="12">
      <c r="B23" s="9" t="s">
        <v>84</v>
      </c>
      <c r="C23" s="9">
        <v>190</v>
      </c>
      <c r="D23" s="9" t="s">
        <v>36</v>
      </c>
    </row>
    <row r="24" spans="2:4" ht="12">
      <c r="B24" s="9" t="s">
        <v>85</v>
      </c>
      <c r="C24" s="9">
        <v>360</v>
      </c>
      <c r="D24" s="9" t="s">
        <v>34</v>
      </c>
    </row>
    <row r="25" spans="2:4" ht="12">
      <c r="B25" s="9" t="s">
        <v>12</v>
      </c>
      <c r="C25" s="9">
        <v>36</v>
      </c>
      <c r="D25" s="9" t="s">
        <v>35</v>
      </c>
    </row>
    <row r="26" spans="1:3" ht="12">
      <c r="A26" s="9" t="s">
        <v>27</v>
      </c>
      <c r="C26" s="22">
        <f>SUM(C17:C24)</f>
        <v>1120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held</dc:creator>
  <cp:keywords/>
  <dc:description/>
  <cp:lastModifiedBy> </cp:lastModifiedBy>
  <cp:lastPrinted>2006-01-04T21:34:37Z</cp:lastPrinted>
  <dcterms:created xsi:type="dcterms:W3CDTF">2002-12-03T20:37:15Z</dcterms:created>
  <dcterms:modified xsi:type="dcterms:W3CDTF">2008-05-05T18:34:59Z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